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brash\Documents\Calculations\"/>
    </mc:Choice>
  </mc:AlternateContent>
  <xr:revisionPtr revIDLastSave="0" documentId="13_ncr:1_{E4CCA560-0F0F-4FEE-8167-3966673A91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lear Openings" sheetId="1" r:id="rId1"/>
  </sheets>
  <definedNames>
    <definedName name="_xlnm.Print_Area" localSheetId="0">'Clear Openings'!$A$1:$V$29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0" i="1" l="1"/>
  <c r="T8" i="1"/>
  <c r="T9" i="1" s="1"/>
  <c r="T11" i="1" s="1"/>
  <c r="T12" i="1" s="1"/>
  <c r="O12" i="1"/>
  <c r="O7" i="1"/>
  <c r="I22" i="1" s="1"/>
  <c r="I24" i="1"/>
  <c r="I18" i="1"/>
  <c r="I9" i="1"/>
  <c r="I3" i="1"/>
  <c r="D24" i="1"/>
  <c r="D23" i="1"/>
  <c r="D18" i="1"/>
  <c r="O6" i="1"/>
  <c r="D5" i="1" s="1"/>
  <c r="D9" i="1"/>
  <c r="D8" i="1"/>
  <c r="D3" i="1"/>
  <c r="O13" i="1" l="1"/>
  <c r="O14" i="1" s="1"/>
  <c r="D20" i="1"/>
  <c r="I6" i="1"/>
  <c r="I21" i="1"/>
  <c r="I7" i="1"/>
  <c r="D21" i="1"/>
  <c r="O8" i="1"/>
  <c r="D6" i="1"/>
  <c r="I23" i="1" l="1"/>
  <c r="I25" i="1" s="1"/>
  <c r="D22" i="1"/>
  <c r="D25" i="1" s="1"/>
  <c r="I8" i="1"/>
  <c r="I10" i="1" s="1"/>
  <c r="D7" i="1"/>
  <c r="D10" i="1" l="1"/>
  <c r="I11" i="1" l="1"/>
  <c r="D11" i="1"/>
  <c r="D26" i="1"/>
  <c r="I26" i="1"/>
</calcChain>
</file>

<file path=xl/sharedStrings.xml><?xml version="1.0" encoding="utf-8"?>
<sst xmlns="http://schemas.openxmlformats.org/spreadsheetml/2006/main" count="74" uniqueCount="53">
  <si>
    <t>Fire Rating</t>
  </si>
  <si>
    <t>Frame Width</t>
  </si>
  <si>
    <t>Door Thickness</t>
  </si>
  <si>
    <t>Stop Width</t>
  </si>
  <si>
    <t>Door Side Clearance</t>
  </si>
  <si>
    <t>Door Width</t>
  </si>
  <si>
    <t>Single Door Width &amp; Clear Opening From Frame Width</t>
  </si>
  <si>
    <t>Frame Width &amp; Clear Opening From Single Door Width</t>
  </si>
  <si>
    <t>Frame Width &amp; Clear Opening From Double Door Width</t>
  </si>
  <si>
    <t>Door Width 1</t>
  </si>
  <si>
    <t>Door Width 2</t>
  </si>
  <si>
    <t>Hinge Width</t>
  </si>
  <si>
    <t>Frame To Knuckle Centre Dim</t>
  </si>
  <si>
    <t>Opening Radius Inside Edge Of Door</t>
  </si>
  <si>
    <t>Length To Subtract From Frame Internal Width</t>
  </si>
  <si>
    <t>Opening Angle (°)</t>
  </si>
  <si>
    <t>Fire Rating*</t>
  </si>
  <si>
    <t>Door Thickness*</t>
  </si>
  <si>
    <t>Door Side Clearance*</t>
  </si>
  <si>
    <t>* - Do NOT Alter These Values</t>
  </si>
  <si>
    <t>Variables</t>
  </si>
  <si>
    <t>Hinge Rebate Widthin Frame</t>
  </si>
  <si>
    <t>Jamb Thickness - LH</t>
  </si>
  <si>
    <t>Jamb Thickness - RH</t>
  </si>
  <si>
    <t>(1) - Door Angle At 90° &amp; Above &amp; No Projecting Ironmongery</t>
  </si>
  <si>
    <t>Clear Opening (1)</t>
  </si>
  <si>
    <t>Parameters - Do Not Alter</t>
  </si>
  <si>
    <t>Leaf Width</t>
  </si>
  <si>
    <t>Leaf Thickness</t>
  </si>
  <si>
    <t>Leading Edge</t>
  </si>
  <si>
    <t>Door Gap</t>
  </si>
  <si>
    <t>Door Width With Leading Edge</t>
  </si>
  <si>
    <t>Door Opening Radius</t>
  </si>
  <si>
    <t>Available opening</t>
  </si>
  <si>
    <t>Theoretical Clearance</t>
  </si>
  <si>
    <t>Does Door Clear Frame</t>
  </si>
  <si>
    <t>Minimum Door Widths</t>
  </si>
  <si>
    <t>Hinge Offet*</t>
  </si>
  <si>
    <t>FD60</t>
  </si>
  <si>
    <t>Secondary Leaf Width</t>
  </si>
  <si>
    <t>Primary Leaf Width</t>
  </si>
  <si>
    <t>Jamb Thickness - LH*</t>
  </si>
  <si>
    <t>Jamb Thickness - RH*</t>
  </si>
  <si>
    <t>Stop Width*</t>
  </si>
  <si>
    <t>Jamb Thickness LH*</t>
  </si>
  <si>
    <t>Jamb Thickness RH*</t>
  </si>
  <si>
    <t>* Std Hinge Offset = 8mm</t>
  </si>
  <si>
    <t>Clear Opening From Frame Width &amp; Primary Leaf Width</t>
  </si>
  <si>
    <t>Primary Leaf Clear Opening (1)</t>
  </si>
  <si>
    <t>NFR</t>
  </si>
  <si>
    <t>FD30</t>
  </si>
  <si>
    <t>FD90</t>
  </si>
  <si>
    <t>FD120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</si>
</sst>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0" fillId="0" borderId="2" xfId="0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4" fillId="0" borderId="0" xfId="0" applyFont="1"/>
    <xf numFmtId="0" fontId="1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9" xfId="0" applyFont="1" applyBorder="1"/>
    <xf numFmtId="164" fontId="0" fillId="0" borderId="0" xfId="0" applyNumberFormat="1"/>
    <xf numFmtId="164" fontId="4" fillId="0" borderId="0" xfId="0" applyNumberFormat="1" applyFont="1"/>
    <xf numFmtId="0" fontId="5" fillId="0" borderId="6" xfId="0" applyFont="1" applyBorder="1" applyAlignment="1">
      <alignment horizontal="right"/>
    </xf>
    <xf numFmtId="164" fontId="3" fillId="0" borderId="9" xfId="0" applyNumberFormat="1" applyFont="1" applyBorder="1"/>
    <xf numFmtId="0" fontId="3" fillId="0" borderId="0" xfId="0" applyFont="1" applyAlignment="1">
      <alignment horizontal="right"/>
    </xf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5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164" fontId="0" fillId="0" borderId="14" xfId="0" applyNumberFormat="1" applyBorder="1"/>
    <xf numFmtId="2" fontId="1" fillId="0" borderId="18" xfId="0" applyNumberFormat="1" applyFont="1" applyBorder="1"/>
    <xf numFmtId="0" fontId="0" fillId="0" borderId="16" xfId="0" applyBorder="1" applyAlignment="1">
      <alignment horizontal="right"/>
    </xf>
    <xf numFmtId="0" fontId="3" fillId="0" borderId="17" xfId="0" applyFont="1" applyBorder="1" applyAlignment="1">
      <alignment horizontal="center"/>
    </xf>
    <xf numFmtId="0" fontId="0" fillId="0" borderId="0" xfId="0" applyAlignment="1">
      <alignment vertical="top" wrapText="1"/>
    </xf>
    <xf numFmtId="164" fontId="5" fillId="0" borderId="0" xfId="0" applyNumberFormat="1" applyFont="1"/>
    <xf numFmtId="0" fontId="1" fillId="0" borderId="0" xfId="0" applyFont="1" applyAlignment="1">
      <alignment horizontal="center" vertical="center" textRotation="180" wrapText="1"/>
    </xf>
    <xf numFmtId="164" fontId="3" fillId="0" borderId="0" xfId="0" applyNumberFormat="1" applyFont="1"/>
    <xf numFmtId="0" fontId="4" fillId="0" borderId="6" xfId="0" applyFont="1" applyBorder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4" fillId="0" borderId="14" xfId="0" applyFont="1" applyBorder="1" applyProtection="1">
      <protection locked="0"/>
    </xf>
    <xf numFmtId="0" fontId="0" fillId="0" borderId="0" xfId="0" applyAlignment="1">
      <alignment horizontal="center" vertical="top" wrapText="1"/>
    </xf>
    <xf numFmtId="0" fontId="4" fillId="0" borderId="9" xfId="0" applyFont="1" applyBorder="1" applyAlignment="1">
      <alignment horizontal="right" wrapText="1"/>
    </xf>
    <xf numFmtId="164" fontId="3" fillId="0" borderId="9" xfId="0" applyNumberFormat="1" applyFont="1" applyBorder="1" applyAlignment="1">
      <alignment horizontal="right" vertical="center"/>
    </xf>
    <xf numFmtId="0" fontId="0" fillId="0" borderId="5" xfId="0" applyBorder="1" applyAlignment="1">
      <alignment horizontal="right"/>
    </xf>
    <xf numFmtId="0" fontId="0" fillId="0" borderId="0" xfId="0" applyAlignment="1">
      <alignment horizontal="right"/>
    </xf>
    <xf numFmtId="0" fontId="4" fillId="0" borderId="9" xfId="0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0" xfId="0" applyFont="1" applyProtection="1"/>
    <xf numFmtId="0" fontId="0" fillId="0" borderId="0" xfId="0" applyBorder="1" applyAlignment="1">
      <alignment horizontal="right"/>
    </xf>
    <xf numFmtId="0" fontId="6" fillId="0" borderId="1" xfId="0" applyFont="1" applyBorder="1" applyProtection="1"/>
    <xf numFmtId="0" fontId="6" fillId="0" borderId="0" xfId="0" applyFont="1" applyBorder="1" applyProtection="1"/>
    <xf numFmtId="0" fontId="1" fillId="0" borderId="1" xfId="0" applyFont="1" applyBorder="1" applyAlignment="1" applyProtection="1">
      <alignment horizontal="center" vertical="center" textRotation="180" wrapText="1"/>
    </xf>
    <xf numFmtId="0" fontId="1" fillId="0" borderId="0" xfId="0" applyFont="1" applyBorder="1" applyAlignment="1" applyProtection="1">
      <alignment horizontal="center" vertical="center" textRotation="180" wrapText="1"/>
    </xf>
    <xf numFmtId="164" fontId="6" fillId="0" borderId="0" xfId="0" applyNumberFormat="1" applyFont="1" applyProtection="1"/>
    <xf numFmtId="164" fontId="6" fillId="0" borderId="2" xfId="0" applyNumberFormat="1" applyFont="1" applyBorder="1" applyProtection="1"/>
    <xf numFmtId="0" fontId="1" fillId="0" borderId="2" xfId="0" applyFont="1" applyBorder="1" applyAlignment="1" applyProtection="1">
      <alignment horizontal="center" vertical="center" textRotation="180" wrapText="1"/>
    </xf>
    <xf numFmtId="0" fontId="7" fillId="0" borderId="0" xfId="0" applyFont="1"/>
    <xf numFmtId="0" fontId="0" fillId="0" borderId="18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29"/>
  <sheetViews>
    <sheetView tabSelected="1" zoomScaleNormal="100" workbookViewId="0">
      <selection activeCell="O3" sqref="O3"/>
    </sheetView>
  </sheetViews>
  <sheetFormatPr defaultRowHeight="14.4" x14ac:dyDescent="0.3"/>
  <cols>
    <col min="1" max="1" width="14.109375" customWidth="1"/>
    <col min="2" max="2" width="9.109375" customWidth="1"/>
    <col min="3" max="3" width="11.109375" customWidth="1"/>
    <col min="4" max="4" width="14.6640625" customWidth="1"/>
    <col min="5" max="5" width="9.5546875" customWidth="1"/>
    <col min="6" max="6" width="12" bestFit="1" customWidth="1"/>
    <col min="7" max="7" width="11.109375" customWidth="1"/>
    <col min="8" max="8" width="9.44140625" customWidth="1"/>
    <col min="9" max="9" width="12" customWidth="1"/>
    <col min="10" max="10" width="11.5546875" customWidth="1"/>
    <col min="12" max="12" width="9.5546875" bestFit="1" customWidth="1"/>
    <col min="14" max="14" width="10.88671875" customWidth="1"/>
    <col min="15" max="15" width="10.5546875" customWidth="1"/>
    <col min="18" max="18" width="14.21875" customWidth="1"/>
    <col min="20" max="20" width="11.44140625" customWidth="1"/>
    <col min="21" max="21" width="9.44140625" customWidth="1"/>
    <col min="22" max="22" width="8.44140625" customWidth="1"/>
    <col min="24" max="24" width="12.33203125" customWidth="1"/>
  </cols>
  <sheetData>
    <row r="2" spans="2:28" ht="30" customHeight="1" x14ac:dyDescent="0.3">
      <c r="B2" s="43" t="s">
        <v>6</v>
      </c>
      <c r="C2" s="44"/>
      <c r="D2" s="45"/>
      <c r="E2" s="2"/>
      <c r="G2" s="43" t="s">
        <v>8</v>
      </c>
      <c r="H2" s="44"/>
      <c r="I2" s="45"/>
      <c r="N2" s="2"/>
      <c r="O2" s="2" t="s">
        <v>20</v>
      </c>
      <c r="Q2" s="16"/>
      <c r="R2" s="17"/>
      <c r="S2" s="51" t="s">
        <v>36</v>
      </c>
      <c r="T2" s="52"/>
    </row>
    <row r="3" spans="2:28" x14ac:dyDescent="0.3">
      <c r="B3" s="4"/>
      <c r="C3" s="8" t="s">
        <v>16</v>
      </c>
      <c r="D3" s="13" t="str">
        <f>$O$3</f>
        <v>FD30</v>
      </c>
      <c r="G3" s="40" t="s">
        <v>16</v>
      </c>
      <c r="H3" s="41"/>
      <c r="I3" s="13" t="str">
        <f>$O$3</f>
        <v>FD30</v>
      </c>
      <c r="N3" s="1" t="s">
        <v>0</v>
      </c>
      <c r="O3" s="34" t="s">
        <v>50</v>
      </c>
      <c r="Q3" s="19"/>
      <c r="S3" s="9" t="s">
        <v>27</v>
      </c>
      <c r="T3" s="36">
        <v>300</v>
      </c>
    </row>
    <row r="4" spans="2:28" x14ac:dyDescent="0.3">
      <c r="B4" s="4"/>
      <c r="C4" s="15" t="s">
        <v>1</v>
      </c>
      <c r="D4" s="33">
        <v>994</v>
      </c>
      <c r="G4" s="49" t="s">
        <v>9</v>
      </c>
      <c r="H4" s="50"/>
      <c r="I4" s="33">
        <v>724</v>
      </c>
      <c r="N4" s="1" t="s">
        <v>15</v>
      </c>
      <c r="O4" s="35">
        <v>90</v>
      </c>
      <c r="Q4" s="19"/>
      <c r="S4" s="9" t="s">
        <v>28</v>
      </c>
      <c r="T4" s="36">
        <v>44</v>
      </c>
      <c r="V4" s="62" t="s">
        <v>49</v>
      </c>
      <c r="Y4" s="11"/>
    </row>
    <row r="5" spans="2:28" x14ac:dyDescent="0.3">
      <c r="B5" s="4"/>
      <c r="C5" s="1" t="s">
        <v>17</v>
      </c>
      <c r="D5" s="5">
        <f>$O$6</f>
        <v>44</v>
      </c>
      <c r="G5" s="49" t="s">
        <v>10</v>
      </c>
      <c r="H5" s="50"/>
      <c r="I5" s="33">
        <v>724</v>
      </c>
      <c r="N5" s="1" t="s">
        <v>3</v>
      </c>
      <c r="O5" s="35">
        <v>15</v>
      </c>
      <c r="Q5" s="19"/>
      <c r="S5" s="9" t="s">
        <v>29</v>
      </c>
      <c r="T5" s="36">
        <v>3</v>
      </c>
      <c r="V5" s="62" t="s">
        <v>50</v>
      </c>
    </row>
    <row r="6" spans="2:28" ht="14.4" customHeight="1" x14ac:dyDescent="0.3">
      <c r="B6" s="4"/>
      <c r="C6" s="1" t="s">
        <v>44</v>
      </c>
      <c r="D6" s="5">
        <f>$O$7</f>
        <v>32</v>
      </c>
      <c r="G6" s="40" t="s">
        <v>17</v>
      </c>
      <c r="H6" s="41"/>
      <c r="I6" s="5">
        <f>$O$6</f>
        <v>44</v>
      </c>
      <c r="N6" s="24" t="s">
        <v>2</v>
      </c>
      <c r="O6" s="55">
        <f>IF($O$3="FD120",60,IF($O$3="FD90",64,IF($O$3="FD60",54,44)))</f>
        <v>44</v>
      </c>
      <c r="P6" s="57" t="s">
        <v>26</v>
      </c>
      <c r="Q6" s="19"/>
      <c r="R6" s="23"/>
      <c r="S6" s="24" t="s">
        <v>37</v>
      </c>
      <c r="T6" s="63">
        <v>8</v>
      </c>
      <c r="V6" s="62" t="s">
        <v>38</v>
      </c>
    </row>
    <row r="7" spans="2:28" ht="14.4" customHeight="1" x14ac:dyDescent="0.3">
      <c r="B7" s="4"/>
      <c r="C7" s="1" t="s">
        <v>45</v>
      </c>
      <c r="D7" s="5">
        <f>$O$8</f>
        <v>32</v>
      </c>
      <c r="G7" s="40" t="s">
        <v>41</v>
      </c>
      <c r="H7" s="41"/>
      <c r="I7" s="5">
        <f>$O$7</f>
        <v>32</v>
      </c>
      <c r="N7" s="54" t="s">
        <v>22</v>
      </c>
      <c r="O7" s="56">
        <f>IF($O$3="FD90",44,IF($O$3="FD120",44,32))</f>
        <v>32</v>
      </c>
      <c r="P7" s="58"/>
      <c r="Q7" s="19"/>
      <c r="S7" s="1" t="s">
        <v>30</v>
      </c>
      <c r="T7" s="18">
        <v>3</v>
      </c>
      <c r="V7" s="62" t="s">
        <v>51</v>
      </c>
    </row>
    <row r="8" spans="2:28" ht="14.4" customHeight="1" x14ac:dyDescent="0.3">
      <c r="B8" s="4"/>
      <c r="C8" s="1" t="s">
        <v>43</v>
      </c>
      <c r="D8" s="5">
        <f>$O$5</f>
        <v>15</v>
      </c>
      <c r="G8" s="40" t="s">
        <v>42</v>
      </c>
      <c r="H8" s="41"/>
      <c r="I8" s="5">
        <f>$O$8</f>
        <v>32</v>
      </c>
      <c r="N8" s="1" t="s">
        <v>23</v>
      </c>
      <c r="O8" s="53">
        <f>$O$7</f>
        <v>32</v>
      </c>
      <c r="P8" s="58"/>
      <c r="Q8" s="19"/>
      <c r="S8" s="1" t="s">
        <v>31</v>
      </c>
      <c r="T8" s="25">
        <f>$T$3-($T$4*(TAN(RADIANS($T$5))))</f>
        <v>297.69405771154618</v>
      </c>
      <c r="V8" s="62" t="s">
        <v>52</v>
      </c>
    </row>
    <row r="9" spans="2:28" ht="14.4" customHeight="1" x14ac:dyDescent="0.3">
      <c r="B9" s="4"/>
      <c r="C9" s="1" t="s">
        <v>18</v>
      </c>
      <c r="D9" s="5">
        <f>$O$9</f>
        <v>3</v>
      </c>
      <c r="G9" s="4"/>
      <c r="H9" s="22" t="s">
        <v>18</v>
      </c>
      <c r="I9" s="5">
        <f>$O$9</f>
        <v>3</v>
      </c>
      <c r="N9" s="54" t="s">
        <v>4</v>
      </c>
      <c r="O9" s="56">
        <v>3</v>
      </c>
      <c r="P9" s="58"/>
      <c r="Q9" s="19"/>
      <c r="S9" s="1" t="s">
        <v>32</v>
      </c>
      <c r="T9" s="25">
        <f>SQRT((($T$8+($T$7/2))^2)+(($T$4+$T$6)^2))</f>
        <v>303.67924553696457</v>
      </c>
      <c r="X9" s="29"/>
      <c r="Y9" s="29"/>
      <c r="Z9" s="29"/>
    </row>
    <row r="10" spans="2:28" x14ac:dyDescent="0.3">
      <c r="B10" s="42" t="s">
        <v>5</v>
      </c>
      <c r="C10" s="42"/>
      <c r="D10" s="10">
        <f>$D$4-(($D$6+$D$7)+(2*$D$9))</f>
        <v>924</v>
      </c>
      <c r="G10" s="42" t="s">
        <v>1</v>
      </c>
      <c r="H10" s="42"/>
      <c r="I10" s="10">
        <f>$I$4+$I$5+(3*$I$9)+($I$7+$I$8)</f>
        <v>1521</v>
      </c>
      <c r="N10" s="1" t="s">
        <v>11</v>
      </c>
      <c r="O10" s="53">
        <v>76</v>
      </c>
      <c r="P10" s="58"/>
      <c r="Q10" s="19"/>
      <c r="S10" s="1" t="s">
        <v>33</v>
      </c>
      <c r="T10" s="25">
        <f>$T$3+($T$7*1.5)</f>
        <v>304.5</v>
      </c>
      <c r="X10" s="29"/>
      <c r="Y10" s="29"/>
      <c r="Z10" s="29"/>
    </row>
    <row r="11" spans="2:28" x14ac:dyDescent="0.3">
      <c r="B11" s="42" t="s">
        <v>25</v>
      </c>
      <c r="C11" s="42"/>
      <c r="D11" s="14">
        <f>$D$4-($D$6+$D$7)-$D$8-$O$14</f>
        <v>861.478369883288</v>
      </c>
      <c r="G11" s="42" t="s">
        <v>25</v>
      </c>
      <c r="H11" s="42"/>
      <c r="I11" s="14">
        <f>$I$10-($I$7+$I$8)-(2*$O$14)</f>
        <v>1349.956739766576</v>
      </c>
      <c r="N11" s="1" t="s">
        <v>21</v>
      </c>
      <c r="O11" s="53">
        <v>30</v>
      </c>
      <c r="P11" s="58"/>
      <c r="Q11" s="19"/>
      <c r="R11" s="23"/>
      <c r="S11" s="24" t="s">
        <v>34</v>
      </c>
      <c r="T11" s="26">
        <f>$T$10-$T$9</f>
        <v>0.82075446303542776</v>
      </c>
      <c r="AB11" s="12"/>
    </row>
    <row r="12" spans="2:28" ht="15" thickBot="1" x14ac:dyDescent="0.35">
      <c r="E12" s="7" t="s">
        <v>19</v>
      </c>
      <c r="M12" s="6"/>
      <c r="N12" s="1" t="s">
        <v>12</v>
      </c>
      <c r="O12" s="53">
        <f>($O$10/2)-$O$11</f>
        <v>8</v>
      </c>
      <c r="P12" s="58"/>
      <c r="Q12" s="20"/>
      <c r="R12" s="21"/>
      <c r="S12" s="27" t="s">
        <v>35</v>
      </c>
      <c r="T12" s="28" t="str">
        <f>IF($T$11&lt;0,"NO",IF($T$11&gt;0,"YES!"))</f>
        <v>YES!</v>
      </c>
    </row>
    <row r="13" spans="2:28" x14ac:dyDescent="0.3">
      <c r="E13" s="7" t="s">
        <v>24</v>
      </c>
      <c r="M13" s="9"/>
      <c r="N13" s="1" t="s">
        <v>13</v>
      </c>
      <c r="O13" s="59">
        <f>SQRT((($O$6+$O$12)^2)+(($O$9/2)^2))</f>
        <v>52.021630116712032</v>
      </c>
      <c r="P13" s="58"/>
    </row>
    <row r="14" spans="2:28" ht="14.4" customHeight="1" x14ac:dyDescent="0.3">
      <c r="N14" s="3" t="s">
        <v>14</v>
      </c>
      <c r="O14" s="60">
        <f>((COS(RADIANS((90-$O$4))))*$O$13)+1.5</f>
        <v>53.521630116712032</v>
      </c>
      <c r="P14" s="61"/>
      <c r="R14" s="37" t="s">
        <v>46</v>
      </c>
      <c r="S14" s="37"/>
      <c r="T14" s="37"/>
    </row>
    <row r="15" spans="2:28" ht="14.4" customHeight="1" x14ac:dyDescent="0.3">
      <c r="P15" s="1"/>
      <c r="R15" s="29"/>
      <c r="S15" s="29"/>
      <c r="T15" s="29"/>
    </row>
    <row r="16" spans="2:28" ht="14.4" customHeight="1" x14ac:dyDescent="0.3">
      <c r="B16" s="43" t="s">
        <v>7</v>
      </c>
      <c r="C16" s="44"/>
      <c r="D16" s="45"/>
      <c r="G16" s="43" t="s">
        <v>47</v>
      </c>
      <c r="H16" s="44"/>
      <c r="I16" s="45"/>
      <c r="P16" s="1"/>
      <c r="R16" s="29"/>
      <c r="S16" s="29"/>
      <c r="T16" s="29"/>
    </row>
    <row r="17" spans="2:18" x14ac:dyDescent="0.3">
      <c r="B17" s="46"/>
      <c r="C17" s="47"/>
      <c r="D17" s="48"/>
      <c r="G17" s="46"/>
      <c r="H17" s="47"/>
      <c r="I17" s="48"/>
      <c r="P17" s="1"/>
    </row>
    <row r="18" spans="2:18" x14ac:dyDescent="0.3">
      <c r="B18" s="4"/>
      <c r="C18" s="8" t="s">
        <v>16</v>
      </c>
      <c r="D18" s="13" t="str">
        <f>$O$3</f>
        <v>FD30</v>
      </c>
      <c r="G18" s="40" t="s">
        <v>16</v>
      </c>
      <c r="H18" s="41"/>
      <c r="I18" s="13" t="str">
        <f>$O$3</f>
        <v>FD30</v>
      </c>
      <c r="P18" s="1"/>
      <c r="Q18" s="30"/>
      <c r="R18" s="31"/>
    </row>
    <row r="19" spans="2:18" x14ac:dyDescent="0.3">
      <c r="B19" s="4"/>
      <c r="C19" s="15" t="s">
        <v>5</v>
      </c>
      <c r="D19" s="33">
        <v>1175</v>
      </c>
      <c r="G19" s="49" t="s">
        <v>40</v>
      </c>
      <c r="H19" s="50"/>
      <c r="I19" s="33">
        <v>924</v>
      </c>
      <c r="P19" s="1"/>
      <c r="Q19" s="30"/>
      <c r="R19" s="31"/>
    </row>
    <row r="20" spans="2:18" x14ac:dyDescent="0.3">
      <c r="B20" s="4"/>
      <c r="C20" s="1" t="s">
        <v>17</v>
      </c>
      <c r="D20" s="5">
        <f>$O$6</f>
        <v>44</v>
      </c>
      <c r="G20" s="49" t="s">
        <v>1</v>
      </c>
      <c r="H20" s="50"/>
      <c r="I20" s="33">
        <v>1510</v>
      </c>
      <c r="P20" s="1"/>
      <c r="Q20" s="30"/>
      <c r="R20" s="31"/>
    </row>
    <row r="21" spans="2:18" x14ac:dyDescent="0.3">
      <c r="B21" s="4"/>
      <c r="C21" s="1" t="s">
        <v>41</v>
      </c>
      <c r="D21" s="5">
        <f>$O$7</f>
        <v>32</v>
      </c>
      <c r="G21" s="40" t="s">
        <v>17</v>
      </c>
      <c r="H21" s="41"/>
      <c r="I21" s="5">
        <f>$O$6</f>
        <v>44</v>
      </c>
      <c r="P21" s="1"/>
      <c r="Q21" s="30"/>
      <c r="R21" s="31"/>
    </row>
    <row r="22" spans="2:18" x14ac:dyDescent="0.3">
      <c r="B22" s="4"/>
      <c r="C22" s="1" t="s">
        <v>42</v>
      </c>
      <c r="D22" s="5">
        <f>$O$8</f>
        <v>32</v>
      </c>
      <c r="G22" s="40" t="s">
        <v>41</v>
      </c>
      <c r="H22" s="41"/>
      <c r="I22" s="5">
        <f>$O$7</f>
        <v>32</v>
      </c>
      <c r="P22" s="1"/>
      <c r="Q22" s="30"/>
      <c r="R22" s="31"/>
    </row>
    <row r="23" spans="2:18" x14ac:dyDescent="0.3">
      <c r="B23" s="4"/>
      <c r="C23" s="1" t="s">
        <v>43</v>
      </c>
      <c r="D23" s="5">
        <f>$D$8</f>
        <v>15</v>
      </c>
      <c r="G23" s="40" t="s">
        <v>42</v>
      </c>
      <c r="H23" s="41"/>
      <c r="I23" s="5">
        <f>$O$8</f>
        <v>32</v>
      </c>
      <c r="P23" s="1"/>
      <c r="Q23" s="30"/>
      <c r="R23" s="31"/>
    </row>
    <row r="24" spans="2:18" x14ac:dyDescent="0.3">
      <c r="B24" s="4"/>
      <c r="C24" s="1" t="s">
        <v>18</v>
      </c>
      <c r="D24" s="5">
        <f>$O$9</f>
        <v>3</v>
      </c>
      <c r="G24" s="22"/>
      <c r="H24" s="22" t="s">
        <v>18</v>
      </c>
      <c r="I24" s="5">
        <f>$O$9</f>
        <v>3</v>
      </c>
      <c r="P24" s="1"/>
      <c r="Q24" s="30"/>
      <c r="R24" s="31"/>
    </row>
    <row r="25" spans="2:18" x14ac:dyDescent="0.3">
      <c r="B25" s="42" t="s">
        <v>1</v>
      </c>
      <c r="C25" s="42"/>
      <c r="D25" s="10">
        <f>$D$19+($D$21+$D$22)+(2*$D$24)</f>
        <v>1245</v>
      </c>
      <c r="G25" s="42" t="s">
        <v>39</v>
      </c>
      <c r="H25" s="42"/>
      <c r="I25" s="10">
        <f>$I$20-($I$19+(3*$I$24)+($I$22+$I$23))</f>
        <v>513</v>
      </c>
      <c r="P25" s="1"/>
      <c r="Q25" s="30"/>
      <c r="R25" s="31"/>
    </row>
    <row r="26" spans="2:18" x14ac:dyDescent="0.3">
      <c r="B26" s="42" t="s">
        <v>25</v>
      </c>
      <c r="C26" s="42"/>
      <c r="D26" s="14">
        <f>$D$25-($D$21+$D$22)-$D$23-$O$14</f>
        <v>1112.478369883288</v>
      </c>
      <c r="G26" s="38" t="s">
        <v>48</v>
      </c>
      <c r="H26" s="38"/>
      <c r="I26" s="39">
        <f>$I$20-($O$7+$O$8+$O$9+$I$25+$O$14)</f>
        <v>876.478369883288</v>
      </c>
      <c r="P26" s="1"/>
      <c r="Q26" s="30"/>
      <c r="R26" s="31"/>
    </row>
    <row r="27" spans="2:18" x14ac:dyDescent="0.3">
      <c r="B27" s="9"/>
      <c r="C27" s="9"/>
      <c r="D27" s="32"/>
      <c r="G27" s="38"/>
      <c r="H27" s="38"/>
      <c r="I27" s="39"/>
      <c r="P27" s="1"/>
      <c r="Q27" s="30"/>
      <c r="R27" s="31"/>
    </row>
    <row r="28" spans="2:18" x14ac:dyDescent="0.3">
      <c r="B28" s="9"/>
      <c r="C28" s="9"/>
      <c r="D28" s="32"/>
      <c r="G28" s="9"/>
      <c r="H28" s="9"/>
      <c r="I28" s="32"/>
      <c r="P28" s="1"/>
      <c r="Q28" s="30"/>
      <c r="R28" s="31"/>
    </row>
    <row r="29" spans="2:18" x14ac:dyDescent="0.3">
      <c r="B29" s="9"/>
      <c r="C29" s="9"/>
      <c r="D29" s="32"/>
      <c r="G29" s="9"/>
      <c r="H29" s="9"/>
      <c r="I29" s="32"/>
      <c r="P29" s="1"/>
      <c r="Q29" s="30"/>
      <c r="R29" s="31"/>
    </row>
  </sheetData>
  <sheetProtection algorithmName="SHA-512" hashValue="WrAMFz0qs+93Dengme/t0Fwfw/03/z/z8o7nVQEXb2OoouaTBIxkUS5LD5Dl9ZXkHSuJFI/EPv6CAiDAnVFflA==" saltValue="SiG/ROfQZWjcepiMwxrYyg==" spinCount="100000" sheet="1" objects="1" scenarios="1"/>
  <mergeCells count="28">
    <mergeCell ref="B2:D2"/>
    <mergeCell ref="G2:I2"/>
    <mergeCell ref="G4:H4"/>
    <mergeCell ref="B10:C10"/>
    <mergeCell ref="B11:C11"/>
    <mergeCell ref="G11:H11"/>
    <mergeCell ref="G6:H6"/>
    <mergeCell ref="G5:H5"/>
    <mergeCell ref="G8:H8"/>
    <mergeCell ref="S2:T2"/>
    <mergeCell ref="G18:H18"/>
    <mergeCell ref="G10:H10"/>
    <mergeCell ref="G3:H3"/>
    <mergeCell ref="G7:H7"/>
    <mergeCell ref="P6:P14"/>
    <mergeCell ref="B26:C26"/>
    <mergeCell ref="G23:H23"/>
    <mergeCell ref="B16:D17"/>
    <mergeCell ref="G16:I17"/>
    <mergeCell ref="G19:H19"/>
    <mergeCell ref="G20:H20"/>
    <mergeCell ref="G21:H21"/>
    <mergeCell ref="B25:C25"/>
    <mergeCell ref="R14:T14"/>
    <mergeCell ref="G26:H27"/>
    <mergeCell ref="I26:I27"/>
    <mergeCell ref="G22:H22"/>
    <mergeCell ref="G25:H25"/>
  </mergeCells>
  <dataValidations count="1">
    <dataValidation type="list" allowBlank="1" showInputMessage="1" showErrorMessage="1" sqref="O3" xr:uid="{14B6739D-6C1A-4BA2-8379-3570D1FDC8F2}">
      <formula1>$V$4:$V$8</formula1>
    </dataValidation>
  </dataValidations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Clear Openings</vt:lpstr>
      <vt:lpstr>'Clear Openings'!Print_Area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Brash_P</dc:creator>
  <cp:lastModifiedBy>Peter Brash</cp:lastModifiedBy>
  <dcterms:created xsi:type="dcterms:W3CDTF">2010-09-22T08:14:04Z</dcterms:created>
  <dcterms:modified xsi:type="dcterms:W3CDTF">2023-10-04T11:07:00Z</dcterms:modified>
</cp:coreProperties>
</file>